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showInkAnnotation="0" codeName="ThisWorkbook"/>
  <xr:revisionPtr revIDLastSave="0" documentId="13_ncr:1000001_{BDFF9CBC-5295-C549-B838-B87AFD5F2353}" xr6:coauthVersionLast="47" xr6:coauthVersionMax="47" xr10:uidLastSave="{00000000-0000-0000-0000-000000000000}"/>
  <bookViews>
    <workbookView xWindow="516" yWindow="564" windowWidth="10236" windowHeight="7620" activeTab="2" xr2:uid="{00000000-000D-0000-FFFF-FFFF00000000}"/>
  </bookViews>
  <sheets>
    <sheet name="Blad1" sheetId="1" r:id="rId1"/>
    <sheet name="Blad2" sheetId="2" r:id="rId2"/>
    <sheet name="Blad3" sheetId="3" r:id="rId3"/>
  </sheets>
  <definedNames>
    <definedName name="give_mm__inch">Blad3!$K$5:$K$6</definedName>
    <definedName name="inch">Blad3!$K$5:$K$6</definedName>
    <definedName name="mminh">Blad3!$K$5:$K$6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 i="3" l="1"/>
  <c r="D5" i="3"/>
  <c r="B8" i="3"/>
  <c r="L16" i="3"/>
  <c r="L20" i="3"/>
  <c r="L19" i="3"/>
  <c r="L15" i="3"/>
  <c r="K16" i="3"/>
  <c r="K20" i="3"/>
  <c r="K19" i="3"/>
  <c r="K15" i="3"/>
  <c r="L8" i="3"/>
  <c r="K8" i="3"/>
  <c r="G15" i="3"/>
  <c r="G14" i="3"/>
  <c r="E12" i="3"/>
  <c r="E11" i="3"/>
  <c r="E15" i="3"/>
  <c r="E14" i="3"/>
  <c r="E21" i="3"/>
  <c r="E20" i="3"/>
  <c r="E19" i="3"/>
  <c r="E13" i="3"/>
  <c r="D16" i="3"/>
  <c r="L21" i="3"/>
  <c r="D21" i="3"/>
  <c r="K21" i="3"/>
  <c r="C21" i="3"/>
  <c r="D20" i="3"/>
  <c r="C20" i="3"/>
  <c r="D19" i="3"/>
  <c r="C19" i="3"/>
  <c r="L11" i="3"/>
  <c r="L12" i="3"/>
  <c r="D12" i="3"/>
  <c r="K11" i="3"/>
  <c r="K12" i="3"/>
  <c r="C12" i="3"/>
  <c r="D11" i="3"/>
  <c r="C11" i="3"/>
  <c r="N11" i="3"/>
  <c r="D3" i="3"/>
  <c r="B3" i="3"/>
  <c r="J9" i="1"/>
  <c r="I9" i="1"/>
  <c r="C9" i="1"/>
  <c r="J16" i="1"/>
  <c r="D7" i="2"/>
  <c r="D8" i="2"/>
  <c r="C3" i="2"/>
  <c r="E5" i="2"/>
  <c r="E4" i="2"/>
  <c r="G9" i="1"/>
  <c r="E9" i="1"/>
  <c r="A9" i="1"/>
  <c r="C8" i="1"/>
  <c r="J8" i="1"/>
  <c r="I8" i="1"/>
  <c r="G8" i="1"/>
  <c r="E8" i="1"/>
  <c r="A8" i="1"/>
  <c r="M13" i="1"/>
  <c r="K13" i="1"/>
  <c r="J13" i="1"/>
  <c r="I13" i="1"/>
  <c r="H13" i="1"/>
  <c r="G13" i="1"/>
  <c r="F13" i="1"/>
  <c r="E13" i="1"/>
  <c r="D13" i="1"/>
  <c r="C13" i="1"/>
  <c r="H9" i="1"/>
  <c r="H8" i="1"/>
  <c r="C16" i="3"/>
  <c r="L13" i="3"/>
  <c r="N15" i="3"/>
  <c r="F15" i="3"/>
  <c r="L14" i="3"/>
  <c r="D15" i="3"/>
  <c r="K13" i="3"/>
  <c r="C15" i="3"/>
  <c r="K14" i="3"/>
  <c r="C14" i="3"/>
  <c r="L18" i="3"/>
  <c r="D18" i="3"/>
  <c r="D13" i="3"/>
  <c r="L17" i="3"/>
  <c r="D17" i="3"/>
  <c r="N13" i="3"/>
  <c r="C13" i="3"/>
  <c r="D28" i="3"/>
  <c r="D24" i="3"/>
  <c r="D29" i="3"/>
  <c r="D25" i="3"/>
  <c r="K18" i="3"/>
  <c r="C18" i="3"/>
  <c r="D26" i="3"/>
  <c r="D22" i="3"/>
  <c r="K17" i="3"/>
  <c r="C17" i="3"/>
  <c r="D27" i="3"/>
  <c r="N14" i="3"/>
  <c r="F14" i="3"/>
  <c r="D14" i="3"/>
</calcChain>
</file>

<file path=xl/sharedStrings.xml><?xml version="1.0" encoding="utf-8"?>
<sst xmlns="http://schemas.openxmlformats.org/spreadsheetml/2006/main" count="127" uniqueCount="75">
  <si>
    <t>Afrol-omtrek calculator</t>
  </si>
  <si>
    <t>A</t>
  </si>
  <si>
    <t>band</t>
  </si>
  <si>
    <t>SB</t>
  </si>
  <si>
    <t>AR</t>
  </si>
  <si>
    <t>/</t>
  </si>
  <si>
    <t>R</t>
  </si>
  <si>
    <t>B</t>
  </si>
  <si>
    <t>invering</t>
  </si>
  <si>
    <t>mm</t>
  </si>
  <si>
    <t>%&lt; vul zelf in</t>
  </si>
  <si>
    <t>%&lt;vul zelf in</t>
  </si>
  <si>
    <t xml:space="preserve">^vergelijkbaar met diameter x </t>
  </si>
  <si>
    <t>diameter</t>
  </si>
  <si>
    <t>als  km/u</t>
  </si>
  <si>
    <t xml:space="preserve">dan km/u </t>
  </si>
  <si>
    <t>invering % van vrij flexibel deel bandwang</t>
  </si>
  <si>
    <t>Omtrek *</t>
  </si>
  <si>
    <t>noot *</t>
  </si>
  <si>
    <t>kan in praktijk afwijken doordat wordt afgerond , dus bijvoorbeeld 255 SB ( sectie breedte) op band kan werkelijk 253 of 257 zijn.  tussenmaten zijn invulbaar, dus ook niet bestaande maten wordt mee gerekend.</t>
  </si>
  <si>
    <t>noot **</t>
  </si>
  <si>
    <t>eigen invoer</t>
  </si>
  <si>
    <t>kmpu</t>
  </si>
  <si>
    <t>afwijking km-teller</t>
  </si>
  <si>
    <t>vul alleen gele en oranje vlakken in</t>
  </si>
  <si>
    <t>hier een benaderingsformule gebruikt , is (onbelaste diameter min invering )x pi.  Gesteld 15% invering van vrij flexibele deel van de bandwang , is sectiehoogte min 25mm voor deel in de velg en loopvlakdikte, die niet meebuigen. in oranje vlak is dit percentage zelf te kiezen. dit geeft een betere benadering ook voor vergelijk van snelheidsmeter, en kan voor zelfde onbelaste diameter toch verschillende afrol-omtrek/afstand geven.</t>
  </si>
  <si>
    <t>berekenen van de afrol-omtrek ( ik noem het liever afrol-afstand) is. ingewikkeld, waarbij oppervlaklengte op de weg en belaste straal gebruikt worden. deze kan ook nog eens wijzigen als de band-inhoud warmer wordt door het rijden of externe omstandigheden.  misschien hebben zelfs de banden-fabrikanten, daar nog niet de ideale formule voor gevonden.</t>
  </si>
  <si>
    <t>antwoorden in blauw en groen</t>
  </si>
  <si>
    <t>Velgdiameter</t>
  </si>
  <si>
    <t>Sectie Breedte</t>
  </si>
  <si>
    <t>afrol-omtrek of afrol-afstand is de afstand die het wiel aflegt op harde ondergrond bij een omwenteling. deze is korter dan de omtrek van de band.  Toch rolt de band, zonder slippen over de grond. mijn vermoeden is, dat vlak voor op de grond komen ,en vlak na van de grond gaan, het loopvlaksegment iets naar achteren beweegt, wat weer goedgemaakt moet worden door vooruitbewegen daarvoor en daarna. Dan dat segment ter groote van een dwarse lijn op loopvlak nog steeds niet naar voren verplaatst. Dus het gebeurt allemaal als segment van de grond is.</t>
  </si>
  <si>
    <t>SB= segment breedte ,breedte van de band</t>
  </si>
  <si>
    <t>AR = aspect ratio, percentage wat bandhoogte is van de breedte.</t>
  </si>
  <si>
    <t>%**/*</t>
  </si>
  <si>
    <t>omtrek</t>
  </si>
  <si>
    <t>oppervaklengte</t>
  </si>
  <si>
    <t>halve hoek</t>
  </si>
  <si>
    <t>afrol **</t>
  </si>
  <si>
    <t>1. diameter</t>
  </si>
  <si>
    <t xml:space="preserve">% 3. van 2. </t>
  </si>
  <si>
    <t>3./1.</t>
  </si>
  <si>
    <t>%</t>
  </si>
  <si>
    <t>ratio</t>
  </si>
  <si>
    <t>Rolling-circumference-calculator</t>
  </si>
  <si>
    <t>only fill in the yellow cells, and optional Orange</t>
  </si>
  <si>
    <t xml:space="preserve">on sidewall </t>
  </si>
  <si>
    <t>Section-width( SW)</t>
  </si>
  <si>
    <t>SW</t>
  </si>
  <si>
    <t>Aspect Ratio ( AR)</t>
  </si>
  <si>
    <t>rimmdiameter</t>
  </si>
  <si>
    <t xml:space="preserve">deflection % </t>
  </si>
  <si>
    <t>if left empty, uses 15%</t>
  </si>
  <si>
    <t xml:space="preserve"> of free flex sidewall</t>
  </si>
  <si>
    <t>tire A</t>
  </si>
  <si>
    <t>tire B</t>
  </si>
  <si>
    <t>B  versus A</t>
  </si>
  <si>
    <t>2. circummference</t>
  </si>
  <si>
    <t>3. rolling-circumference</t>
  </si>
  <si>
    <t>4. loaded radius</t>
  </si>
  <si>
    <t>6. % of free flex sidewall</t>
  </si>
  <si>
    <t>free flex sidewallh</t>
  </si>
  <si>
    <t>given speed B</t>
  </si>
  <si>
    <t>versus A</t>
  </si>
  <si>
    <t>given speed</t>
  </si>
  <si>
    <t>your input</t>
  </si>
  <si>
    <t>inch</t>
  </si>
  <si>
    <t>give mm /inch</t>
  </si>
  <si>
    <t>5. deflection</t>
  </si>
  <si>
    <t>1.</t>
  </si>
  <si>
    <t>2.</t>
  </si>
  <si>
    <t>3.</t>
  </si>
  <si>
    <t>4.</t>
  </si>
  <si>
    <t>5.</t>
  </si>
  <si>
    <t>mph or kmph</t>
  </si>
  <si>
    <t>sidewall-height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</si>
</sst>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
    <numFmt numFmtId="166" formatCode="0.0%"/>
  </numFmts>
  <fonts count="6" x14ac:knownFonts="1">
    <font>
      <sz val="11"/>
      <color theme="1"/>
      <name val="Aptos Narrow"/>
      <family val="2"/>
      <scheme val="minor"/>
    </font>
    <font>
      <sz val="11"/>
      <color theme="0"/>
      <name val="Aptos Narrow"/>
      <family val="2"/>
      <scheme val="minor"/>
    </font>
    <font>
      <b/>
      <sz val="14"/>
      <color theme="1"/>
      <name val="Aptos Narrow"/>
      <family val="2"/>
      <scheme val="minor"/>
    </font>
    <font>
      <sz val="14"/>
      <color theme="0"/>
      <name val="Aptos Narrow"/>
      <family val="2"/>
      <scheme val="minor"/>
    </font>
    <font>
      <sz val="14"/>
      <color theme="1"/>
      <name val="Aptos Narrow"/>
      <family val="2"/>
      <scheme val="minor"/>
    </font>
    <font>
      <sz val="16"/>
      <color theme="0"/>
      <name val="Aptos Narrow"/>
      <family val="2"/>
      <scheme val="minor"/>
    </font>
  </fonts>
  <fills count="10">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rgb="FF00B050"/>
        <bgColor indexed="64"/>
      </patternFill>
    </fill>
    <fill>
      <patternFill patternType="solid">
        <fgColor rgb="FF00B0F0"/>
        <bgColor indexed="64"/>
      </patternFill>
    </fill>
    <fill>
      <patternFill patternType="solid">
        <fgColor theme="2"/>
        <bgColor indexed="64"/>
      </patternFill>
    </fill>
    <fill>
      <patternFill patternType="solid">
        <fgColor theme="0"/>
        <bgColor indexed="64"/>
      </patternFill>
    </fill>
    <fill>
      <patternFill patternType="solid">
        <fgColor rgb="FF0070C0"/>
        <bgColor indexed="64"/>
      </patternFill>
    </fill>
  </fills>
  <borders count="14">
    <border>
      <left/>
      <right/>
      <top/>
      <bottom/>
      <diagonal/>
    </border>
    <border>
      <left style="thin">
        <color rgb="FF505050"/>
      </left>
      <right style="thin">
        <color rgb="FF505050"/>
      </right>
      <top style="thin">
        <color rgb="FF505050"/>
      </top>
      <bottom style="thin">
        <color rgb="FF505050"/>
      </bottom>
      <diagonal/>
    </border>
    <border>
      <left/>
      <right style="thin">
        <color rgb="FF505050"/>
      </right>
      <top style="thin">
        <color rgb="FF505050"/>
      </top>
      <bottom style="thin">
        <color rgb="FF505050"/>
      </bottom>
      <diagonal/>
    </border>
    <border>
      <left style="thin">
        <color rgb="FF505050"/>
      </left>
      <right/>
      <top style="thin">
        <color rgb="FF505050"/>
      </top>
      <bottom style="thin">
        <color rgb="FF505050"/>
      </bottom>
      <diagonal/>
    </border>
    <border>
      <left style="thin">
        <color rgb="FF505050"/>
      </left>
      <right style="thin">
        <color rgb="FF505050"/>
      </right>
      <top/>
      <bottom style="thin">
        <color rgb="FF505050"/>
      </bottom>
      <diagonal/>
    </border>
    <border>
      <left style="medium">
        <color rgb="FF505050"/>
      </left>
      <right style="thin">
        <color rgb="FF505050"/>
      </right>
      <top style="medium">
        <color rgb="FF505050"/>
      </top>
      <bottom style="thin">
        <color rgb="FF505050"/>
      </bottom>
      <diagonal/>
    </border>
    <border>
      <left style="thin">
        <color rgb="FF505050"/>
      </left>
      <right style="medium">
        <color rgb="FF505050"/>
      </right>
      <top style="medium">
        <color rgb="FF505050"/>
      </top>
      <bottom style="thin">
        <color rgb="FF505050"/>
      </bottom>
      <diagonal/>
    </border>
    <border>
      <left style="medium">
        <color rgb="FF505050"/>
      </left>
      <right style="thin">
        <color rgb="FF505050"/>
      </right>
      <top style="thin">
        <color rgb="FF505050"/>
      </top>
      <bottom style="thin">
        <color rgb="FF505050"/>
      </bottom>
      <diagonal/>
    </border>
    <border>
      <left style="thin">
        <color rgb="FF505050"/>
      </left>
      <right style="medium">
        <color rgb="FF505050"/>
      </right>
      <top style="thin">
        <color rgb="FF505050"/>
      </top>
      <bottom style="thin">
        <color rgb="FF505050"/>
      </bottom>
      <diagonal/>
    </border>
    <border>
      <left style="medium">
        <color rgb="FF505050"/>
      </left>
      <right style="thin">
        <color rgb="FF505050"/>
      </right>
      <top style="thin">
        <color rgb="FF505050"/>
      </top>
      <bottom style="medium">
        <color rgb="FF505050"/>
      </bottom>
      <diagonal/>
    </border>
    <border>
      <left style="thin">
        <color rgb="FF505050"/>
      </left>
      <right style="medium">
        <color rgb="FF505050"/>
      </right>
      <top style="thin">
        <color rgb="FF505050"/>
      </top>
      <bottom style="medium">
        <color rgb="FF505050"/>
      </bottom>
      <diagonal/>
    </border>
    <border>
      <left style="medium">
        <color rgb="FF505050"/>
      </left>
      <right/>
      <top style="medium">
        <color rgb="FF505050"/>
      </top>
      <bottom style="medium">
        <color rgb="FF505050"/>
      </bottom>
      <diagonal/>
    </border>
    <border>
      <left style="medium">
        <color rgb="FF505050"/>
      </left>
      <right style="thin">
        <color rgb="FF505050"/>
      </right>
      <top style="thin">
        <color rgb="FF505050"/>
      </top>
      <bottom/>
      <diagonal/>
    </border>
    <border>
      <left style="thin">
        <color rgb="FF505050"/>
      </left>
      <right style="medium">
        <color rgb="FF505050"/>
      </right>
      <top style="thin">
        <color rgb="FF505050"/>
      </top>
      <bottom/>
      <diagonal/>
    </border>
  </borders>
  <cellStyleXfs count="1">
    <xf numFmtId="0" fontId="0" fillId="0" borderId="0"/>
  </cellStyleXfs>
  <cellXfs count="63">
    <xf numFmtId="0" fontId="0" fillId="0" borderId="0" xfId="0"/>
    <xf numFmtId="0" fontId="0" fillId="2" borderId="1" xfId="0" applyFill="1" applyBorder="1"/>
    <xf numFmtId="0" fontId="0" fillId="0" borderId="1" xfId="0" applyBorder="1"/>
    <xf numFmtId="2" fontId="0" fillId="0" borderId="0" xfId="0" applyNumberFormat="1"/>
    <xf numFmtId="0" fontId="0" fillId="2" borderId="1" xfId="0" applyFill="1" applyBorder="1" applyAlignment="1">
      <alignment horizontal="left"/>
    </xf>
    <xf numFmtId="164" fontId="0" fillId="0" borderId="1" xfId="0" applyNumberFormat="1" applyBorder="1"/>
    <xf numFmtId="0" fontId="0" fillId="4" borderId="1" xfId="0" applyNumberFormat="1" applyFill="1" applyBorder="1"/>
    <xf numFmtId="0" fontId="0" fillId="0" borderId="0" xfId="0" applyAlignment="1">
      <alignment horizontal="center"/>
    </xf>
    <xf numFmtId="0" fontId="0" fillId="0" borderId="1" xfId="0" applyBorder="1" applyAlignment="1">
      <alignment horizontal="center"/>
    </xf>
    <xf numFmtId="10" fontId="0" fillId="3" borderId="2" xfId="0" applyNumberFormat="1" applyFill="1" applyBorder="1"/>
    <xf numFmtId="164" fontId="0" fillId="6" borderId="1" xfId="0" applyNumberFormat="1" applyFill="1" applyBorder="1"/>
    <xf numFmtId="0" fontId="0" fillId="6" borderId="1" xfId="0" applyFill="1" applyBorder="1"/>
    <xf numFmtId="0" fontId="0" fillId="0" borderId="3" xfId="0" applyBorder="1"/>
    <xf numFmtId="164" fontId="0" fillId="0" borderId="4" xfId="0" applyNumberFormat="1" applyBorder="1"/>
    <xf numFmtId="0" fontId="0" fillId="0" borderId="0" xfId="0" applyAlignment="1">
      <alignment vertical="top"/>
    </xf>
    <xf numFmtId="9" fontId="0" fillId="0" borderId="0" xfId="0" applyNumberFormat="1"/>
    <xf numFmtId="10" fontId="0" fillId="0" borderId="0" xfId="0" applyNumberFormat="1"/>
    <xf numFmtId="1" fontId="1" fillId="5" borderId="1" xfId="0" applyNumberFormat="1" applyFont="1" applyFill="1" applyBorder="1"/>
    <xf numFmtId="165" fontId="1" fillId="5" borderId="1" xfId="0" applyNumberFormat="1" applyFont="1" applyFill="1" applyBorder="1"/>
    <xf numFmtId="0" fontId="0" fillId="0" borderId="0" xfId="0" applyAlignment="1">
      <alignment horizontal="right"/>
    </xf>
    <xf numFmtId="0" fontId="0" fillId="8" borderId="0" xfId="0" applyFill="1" applyAlignment="1">
      <alignment horizontal="right"/>
    </xf>
    <xf numFmtId="1" fontId="0" fillId="0" borderId="1" xfId="0" applyNumberFormat="1" applyBorder="1"/>
    <xf numFmtId="165" fontId="0" fillId="0" borderId="1" xfId="0" applyNumberFormat="1" applyBorder="1"/>
    <xf numFmtId="166" fontId="0" fillId="0" borderId="1" xfId="0" applyNumberFormat="1" applyBorder="1"/>
    <xf numFmtId="1" fontId="0" fillId="0" borderId="0" xfId="0" applyNumberFormat="1"/>
    <xf numFmtId="0" fontId="0" fillId="4" borderId="0" xfId="0" applyFill="1"/>
    <xf numFmtId="0" fontId="0" fillId="2" borderId="0" xfId="0" applyFill="1"/>
    <xf numFmtId="0" fontId="0" fillId="8" borderId="0" xfId="0" applyFill="1"/>
    <xf numFmtId="0" fontId="0" fillId="8" borderId="1" xfId="0" applyFill="1" applyBorder="1"/>
    <xf numFmtId="164" fontId="0" fillId="8" borderId="1" xfId="0" applyNumberFormat="1" applyFill="1" applyBorder="1"/>
    <xf numFmtId="0" fontId="1" fillId="0" borderId="0" xfId="0" applyFont="1"/>
    <xf numFmtId="0" fontId="2" fillId="0" borderId="0" xfId="0" applyFont="1"/>
    <xf numFmtId="0" fontId="3" fillId="9" borderId="0" xfId="0" applyFont="1" applyFill="1" applyAlignment="1">
      <alignment horizontal="right"/>
    </xf>
    <xf numFmtId="0" fontId="4" fillId="0" borderId="0" xfId="0" applyFont="1"/>
    <xf numFmtId="0" fontId="5" fillId="9" borderId="0" xfId="0" applyFont="1" applyFill="1"/>
    <xf numFmtId="0" fontId="5" fillId="9" borderId="0" xfId="0" applyFont="1" applyFill="1" applyBorder="1"/>
    <xf numFmtId="0" fontId="1" fillId="9" borderId="0" xfId="0" applyFont="1" applyFill="1" applyAlignment="1">
      <alignment horizontal="right"/>
    </xf>
    <xf numFmtId="0" fontId="0" fillId="9" borderId="0" xfId="0" applyFill="1"/>
    <xf numFmtId="1" fontId="3" fillId="9" borderId="1" xfId="0" applyNumberFormat="1" applyFont="1" applyFill="1" applyBorder="1" applyAlignment="1">
      <alignment horizontal="center" vertical="center"/>
    </xf>
    <xf numFmtId="0" fontId="3" fillId="9" borderId="0" xfId="0" applyFont="1" applyFill="1" applyAlignment="1">
      <alignment horizontal="center" vertical="center"/>
    </xf>
    <xf numFmtId="0" fontId="0" fillId="8" borderId="0" xfId="0" applyFont="1" applyFill="1" applyAlignment="1">
      <alignment horizontal="center" vertical="center"/>
    </xf>
    <xf numFmtId="10" fontId="5" fillId="9" borderId="0" xfId="0" applyNumberFormat="1" applyFont="1" applyFill="1" applyAlignment="1">
      <alignment horizontal="center" vertical="center"/>
    </xf>
    <xf numFmtId="2" fontId="0" fillId="0" borderId="1" xfId="0" applyNumberFormat="1" applyBorder="1"/>
    <xf numFmtId="2" fontId="3" fillId="9" borderId="1" xfId="0" applyNumberFormat="1" applyFont="1" applyFill="1" applyBorder="1" applyAlignment="1">
      <alignment horizontal="center" vertical="center"/>
    </xf>
    <xf numFmtId="10" fontId="0" fillId="0" borderId="1" xfId="0" applyNumberFormat="1" applyBorder="1"/>
    <xf numFmtId="0" fontId="0" fillId="2" borderId="5" xfId="0" applyFill="1" applyBorder="1" applyProtection="1">
      <protection locked="0"/>
    </xf>
    <xf numFmtId="0" fontId="0" fillId="2" borderId="6" xfId="0" applyFill="1" applyBorder="1" applyProtection="1">
      <protection locked="0"/>
    </xf>
    <xf numFmtId="0" fontId="0" fillId="2" borderId="7" xfId="0" applyFill="1" applyBorder="1" applyProtection="1">
      <protection locked="0"/>
    </xf>
    <xf numFmtId="0" fontId="0" fillId="2" borderId="8" xfId="0" applyFill="1" applyBorder="1" applyProtection="1">
      <protection locked="0"/>
    </xf>
    <xf numFmtId="0" fontId="0" fillId="2" borderId="9" xfId="0" applyFill="1" applyBorder="1" applyProtection="1">
      <protection locked="0"/>
    </xf>
    <xf numFmtId="0" fontId="0" fillId="2" borderId="10" xfId="0" applyFill="1" applyBorder="1" applyProtection="1">
      <protection locked="0"/>
    </xf>
    <xf numFmtId="0" fontId="0" fillId="4" borderId="7" xfId="0" applyFill="1" applyBorder="1" applyAlignment="1" applyProtection="1">
      <alignment horizontal="center"/>
      <protection locked="0"/>
    </xf>
    <xf numFmtId="0" fontId="0" fillId="4" borderId="8" xfId="0" applyFill="1" applyBorder="1" applyAlignment="1" applyProtection="1">
      <alignment horizontal="center"/>
      <protection locked="0"/>
    </xf>
    <xf numFmtId="0" fontId="0" fillId="4" borderId="12" xfId="0" applyFill="1" applyBorder="1" applyProtection="1">
      <protection locked="0"/>
    </xf>
    <xf numFmtId="0" fontId="0" fillId="4" borderId="13" xfId="0" applyFill="1" applyBorder="1" applyProtection="1">
      <protection locked="0"/>
    </xf>
    <xf numFmtId="0" fontId="0" fillId="4" borderId="11" xfId="0" applyFill="1" applyBorder="1" applyProtection="1">
      <protection locked="0"/>
    </xf>
    <xf numFmtId="0" fontId="0" fillId="4" borderId="1" xfId="0" applyFill="1" applyBorder="1" applyProtection="1">
      <protection locked="0"/>
    </xf>
    <xf numFmtId="0" fontId="0" fillId="0" borderId="0" xfId="0" applyAlignment="1">
      <alignment horizontal="center" wrapText="1"/>
    </xf>
    <xf numFmtId="0" fontId="0" fillId="0" borderId="0" xfId="0" applyAlignment="1">
      <alignment horizontal="center" vertical="top" wrapText="1"/>
    </xf>
    <xf numFmtId="0" fontId="0" fillId="7" borderId="1" xfId="0" applyFill="1" applyBorder="1" applyAlignment="1">
      <alignment horizontal="center"/>
    </xf>
    <xf numFmtId="10" fontId="3" fillId="9" borderId="0" xfId="0" applyNumberFormat="1" applyFont="1" applyFill="1" applyAlignment="1">
      <alignment horizontal="center" vertical="center"/>
    </xf>
    <xf numFmtId="0" fontId="3" fillId="9" borderId="0" xfId="0" applyFont="1" applyFill="1" applyAlignment="1">
      <alignment horizontal="center" wrapText="1"/>
    </xf>
    <xf numFmtId="0" fontId="3" fillId="9" borderId="0" xfId="0" applyFont="1" applyFill="1" applyBorder="1" applyAlignment="1">
      <alignment horizontal="center"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 /><Relationship Id="rId7" Type="http://schemas.openxmlformats.org/officeDocument/2006/relationships/calcChain" Target="calcChain.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sharedStrings" Target="sharedStrings.xml" /><Relationship Id="rId5"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2"/>
  <dimension ref="A1:M52"/>
  <sheetViews>
    <sheetView topLeftCell="B1" zoomScaleNormal="60" zoomScaleSheetLayoutView="100" workbookViewId="0">
      <selection activeCell="K10" sqref="K10"/>
    </sheetView>
  </sheetViews>
  <sheetFormatPr defaultRowHeight="15" x14ac:dyDescent="0.2"/>
  <cols>
    <col min="1" max="1" width="11.97265625" bestFit="1" customWidth="1"/>
    <col min="2" max="2" width="5.109375" customWidth="1"/>
    <col min="3" max="3" width="6.9921875" customWidth="1"/>
    <col min="4" max="4" width="4.4375" customWidth="1"/>
    <col min="5" max="5" width="5.37890625" customWidth="1"/>
    <col min="6" max="6" width="4.4375" customWidth="1"/>
    <col min="7" max="7" width="6.72265625" customWidth="1"/>
    <col min="8" max="8" width="7.6640625" customWidth="1"/>
    <col min="11" max="11" width="9.4140625" bestFit="1" customWidth="1"/>
    <col min="13" max="13" width="11.97265625" bestFit="1" customWidth="1"/>
  </cols>
  <sheetData>
    <row r="1" spans="1:13" x14ac:dyDescent="0.2">
      <c r="B1" t="s">
        <v>0</v>
      </c>
      <c r="G1" t="s">
        <v>24</v>
      </c>
    </row>
    <row r="2" spans="1:13" x14ac:dyDescent="0.2">
      <c r="C2" t="s">
        <v>29</v>
      </c>
      <c r="G2" t="s">
        <v>27</v>
      </c>
    </row>
    <row r="3" spans="1:13" x14ac:dyDescent="0.2">
      <c r="B3" t="s">
        <v>2</v>
      </c>
      <c r="C3" t="s">
        <v>3</v>
      </c>
      <c r="D3" s="7" t="s">
        <v>5</v>
      </c>
      <c r="E3" t="s">
        <v>4</v>
      </c>
      <c r="F3" s="7" t="s">
        <v>6</v>
      </c>
      <c r="G3" t="s">
        <v>28</v>
      </c>
    </row>
    <row r="4" spans="1:13" x14ac:dyDescent="0.2">
      <c r="B4" t="s">
        <v>1</v>
      </c>
      <c r="C4" s="1">
        <v>262</v>
      </c>
      <c r="D4" s="8" t="s">
        <v>5</v>
      </c>
      <c r="E4" s="1">
        <v>70</v>
      </c>
      <c r="F4" s="8" t="s">
        <v>6</v>
      </c>
      <c r="G4" s="4">
        <v>19.5</v>
      </c>
    </row>
    <row r="5" spans="1:13" x14ac:dyDescent="0.2">
      <c r="B5" t="s">
        <v>7</v>
      </c>
      <c r="C5" s="1">
        <v>265</v>
      </c>
      <c r="D5" s="8" t="s">
        <v>5</v>
      </c>
      <c r="E5" s="1">
        <v>70</v>
      </c>
      <c r="F5" s="8" t="s">
        <v>6</v>
      </c>
      <c r="G5" s="4">
        <v>19.5</v>
      </c>
    </row>
    <row r="6" spans="1:13" x14ac:dyDescent="0.2">
      <c r="I6" t="s">
        <v>9</v>
      </c>
    </row>
    <row r="7" spans="1:13" x14ac:dyDescent="0.2">
      <c r="A7" t="s">
        <v>33</v>
      </c>
      <c r="B7" s="2" t="s">
        <v>2</v>
      </c>
      <c r="C7" s="2" t="s">
        <v>13</v>
      </c>
      <c r="D7" s="2"/>
      <c r="E7" s="2" t="s">
        <v>17</v>
      </c>
      <c r="F7" s="2"/>
      <c r="G7" s="2" t="s">
        <v>37</v>
      </c>
      <c r="H7" s="2"/>
      <c r="I7" s="2" t="s">
        <v>8</v>
      </c>
      <c r="J7" t="s">
        <v>16</v>
      </c>
    </row>
    <row r="8" spans="1:13" x14ac:dyDescent="0.2">
      <c r="A8" s="16">
        <f>G8/E8</f>
        <v>0.97611413989096396</v>
      </c>
      <c r="B8" s="2" t="s">
        <v>1</v>
      </c>
      <c r="C8" s="10">
        <f>2*(C4*E4/100)+(G4*25.4)</f>
        <v>862.09999999999991</v>
      </c>
      <c r="D8" s="11" t="s">
        <v>9</v>
      </c>
      <c r="E8" s="11">
        <f>C8*PI()</f>
        <v>2708.3670266597605</v>
      </c>
      <c r="F8" s="11" t="s">
        <v>9</v>
      </c>
      <c r="G8" s="17">
        <f>(C8-I8)*PI()</f>
        <v>2643.6753507370395</v>
      </c>
      <c r="H8" s="18">
        <f>G8/C8</f>
        <v>3.066553010946572</v>
      </c>
      <c r="I8" s="2">
        <f>((C4*E4/100)-25)*J8</f>
        <v>20.592000000000002</v>
      </c>
      <c r="J8" s="9">
        <f>IF( K8="", 0.15, K8/100)</f>
        <v>0.13</v>
      </c>
      <c r="K8" s="6">
        <v>13</v>
      </c>
      <c r="L8" t="s">
        <v>10</v>
      </c>
    </row>
    <row r="9" spans="1:13" x14ac:dyDescent="0.2">
      <c r="A9" s="16">
        <f>G9/E9</f>
        <v>0.94441879256608574</v>
      </c>
      <c r="B9" s="2" t="s">
        <v>7</v>
      </c>
      <c r="C9" s="10">
        <f>2*(C5*E5/100)+(G5*25.4)</f>
        <v>866.3</v>
      </c>
      <c r="D9" s="11" t="s">
        <v>9</v>
      </c>
      <c r="E9" s="11">
        <f>C9*PI()</f>
        <v>2721.5617158048376</v>
      </c>
      <c r="F9" s="11" t="s">
        <v>9</v>
      </c>
      <c r="G9" s="17">
        <f>(C9-I9)*PI()</f>
        <v>2570.2940295344893</v>
      </c>
      <c r="H9" s="18">
        <f>G9/C9</f>
        <v>2.9669791406377577</v>
      </c>
      <c r="I9" s="2">
        <f>((C5*E5/100)-25)*J9</f>
        <v>48.15</v>
      </c>
      <c r="J9" s="9">
        <f>IF( K9="", 0.15, K9/100)</f>
        <v>0.3</v>
      </c>
      <c r="K9" s="6">
        <v>30</v>
      </c>
      <c r="L9" t="s">
        <v>11</v>
      </c>
    </row>
    <row r="10" spans="1:13" x14ac:dyDescent="0.2">
      <c r="G10">
        <v>5280</v>
      </c>
      <c r="H10" t="s">
        <v>12</v>
      </c>
    </row>
    <row r="11" spans="1:13" x14ac:dyDescent="0.2">
      <c r="K11" t="s">
        <v>21</v>
      </c>
      <c r="M11" t="s">
        <v>23</v>
      </c>
    </row>
    <row r="12" spans="1:13" x14ac:dyDescent="0.2">
      <c r="A12" s="2" t="s">
        <v>14</v>
      </c>
      <c r="B12" s="2" t="s">
        <v>1</v>
      </c>
      <c r="C12" s="2">
        <v>20</v>
      </c>
      <c r="D12" s="2">
        <v>40</v>
      </c>
      <c r="E12" s="2">
        <v>60</v>
      </c>
      <c r="F12" s="2">
        <v>80</v>
      </c>
      <c r="G12" s="2">
        <v>100</v>
      </c>
      <c r="H12" s="2">
        <v>120</v>
      </c>
      <c r="I12" s="2">
        <v>140</v>
      </c>
      <c r="J12" s="12">
        <v>160</v>
      </c>
      <c r="K12" s="1">
        <v>98</v>
      </c>
      <c r="L12" s="14" t="s">
        <v>22</v>
      </c>
      <c r="M12" s="15">
        <v>0</v>
      </c>
    </row>
    <row r="13" spans="1:13" x14ac:dyDescent="0.2">
      <c r="A13" s="2" t="s">
        <v>15</v>
      </c>
      <c r="B13" s="2" t="s">
        <v>7</v>
      </c>
      <c r="C13" s="5">
        <f>$G$8/$G$9*C12</f>
        <v>20.570995538715394</v>
      </c>
      <c r="D13" s="5">
        <f t="shared" ref="D13:K13" si="0">$G$8/$G$9*D12</f>
        <v>41.141991077430788</v>
      </c>
      <c r="E13" s="5">
        <f t="shared" si="0"/>
        <v>61.712986616146182</v>
      </c>
      <c r="F13" s="5">
        <f t="shared" si="0"/>
        <v>82.283982154861576</v>
      </c>
      <c r="G13" s="5">
        <f t="shared" si="0"/>
        <v>102.85497769357697</v>
      </c>
      <c r="H13" s="5">
        <f t="shared" si="0"/>
        <v>123.42597323229236</v>
      </c>
      <c r="I13" s="5">
        <f t="shared" si="0"/>
        <v>143.99696877100774</v>
      </c>
      <c r="J13" s="5">
        <f t="shared" si="0"/>
        <v>164.56796430972315</v>
      </c>
      <c r="K13" s="13">
        <f t="shared" si="0"/>
        <v>100.79787813970543</v>
      </c>
      <c r="L13" t="s">
        <v>22</v>
      </c>
      <c r="M13" s="16">
        <f>(G8/G9)-1</f>
        <v>2.8549776935769655E-2</v>
      </c>
    </row>
    <row r="14" spans="1:13" x14ac:dyDescent="0.2">
      <c r="L14" s="3"/>
    </row>
    <row r="16" spans="1:13" ht="15" customHeight="1" x14ac:dyDescent="0.2">
      <c r="A16" t="s">
        <v>18</v>
      </c>
      <c r="B16" s="57" t="s">
        <v>19</v>
      </c>
      <c r="C16" s="57"/>
      <c r="D16" s="57"/>
      <c r="E16" s="57"/>
      <c r="F16" s="57"/>
      <c r="G16" s="57"/>
      <c r="H16" s="57"/>
      <c r="J16">
        <f>(C9/2)-I9</f>
        <v>385</v>
      </c>
    </row>
    <row r="17" spans="1:8" x14ac:dyDescent="0.2">
      <c r="B17" s="57"/>
      <c r="C17" s="57"/>
      <c r="D17" s="57"/>
      <c r="E17" s="57"/>
      <c r="F17" s="57"/>
      <c r="G17" s="57"/>
      <c r="H17" s="57"/>
    </row>
    <row r="18" spans="1:8" x14ac:dyDescent="0.2">
      <c r="B18" s="57"/>
      <c r="C18" s="57"/>
      <c r="D18" s="57"/>
      <c r="E18" s="57"/>
      <c r="F18" s="57"/>
      <c r="G18" s="57"/>
      <c r="H18" s="57"/>
    </row>
    <row r="19" spans="1:8" x14ac:dyDescent="0.2">
      <c r="B19" s="57"/>
      <c r="C19" s="57"/>
      <c r="D19" s="57"/>
      <c r="E19" s="57"/>
      <c r="F19" s="57"/>
      <c r="G19" s="57"/>
      <c r="H19" s="57"/>
    </row>
    <row r="20" spans="1:8" x14ac:dyDescent="0.2">
      <c r="B20" s="57"/>
      <c r="C20" s="57"/>
      <c r="D20" s="57"/>
      <c r="E20" s="57"/>
      <c r="F20" s="57"/>
      <c r="G20" s="57"/>
      <c r="H20" s="57"/>
    </row>
    <row r="21" spans="1:8" x14ac:dyDescent="0.2">
      <c r="B21" s="57"/>
      <c r="C21" s="57"/>
      <c r="D21" s="57"/>
      <c r="E21" s="57"/>
      <c r="F21" s="57"/>
      <c r="G21" s="57"/>
      <c r="H21" s="57"/>
    </row>
    <row r="23" spans="1:8" x14ac:dyDescent="0.2">
      <c r="A23" t="s">
        <v>20</v>
      </c>
      <c r="B23" s="58" t="s">
        <v>26</v>
      </c>
      <c r="C23" s="58"/>
      <c r="D23" s="58"/>
      <c r="E23" s="58"/>
      <c r="F23" s="58"/>
      <c r="G23" s="58"/>
      <c r="H23" s="58"/>
    </row>
    <row r="24" spans="1:8" x14ac:dyDescent="0.2">
      <c r="B24" s="58"/>
      <c r="C24" s="58"/>
      <c r="D24" s="58"/>
      <c r="E24" s="58"/>
      <c r="F24" s="58"/>
      <c r="G24" s="58"/>
      <c r="H24" s="58"/>
    </row>
    <row r="25" spans="1:8" x14ac:dyDescent="0.2">
      <c r="B25" s="58"/>
      <c r="C25" s="58"/>
      <c r="D25" s="58"/>
      <c r="E25" s="58"/>
      <c r="F25" s="58"/>
      <c r="G25" s="58"/>
      <c r="H25" s="58"/>
    </row>
    <row r="26" spans="1:8" x14ac:dyDescent="0.2">
      <c r="B26" s="58"/>
      <c r="C26" s="58"/>
      <c r="D26" s="58"/>
      <c r="E26" s="58"/>
      <c r="F26" s="58"/>
      <c r="G26" s="58"/>
      <c r="H26" s="58"/>
    </row>
    <row r="27" spans="1:8" x14ac:dyDescent="0.2">
      <c r="B27" s="58"/>
      <c r="C27" s="58"/>
      <c r="D27" s="58"/>
      <c r="E27" s="58"/>
      <c r="F27" s="58"/>
      <c r="G27" s="58"/>
      <c r="H27" s="58"/>
    </row>
    <row r="28" spans="1:8" x14ac:dyDescent="0.2">
      <c r="B28" s="58"/>
      <c r="C28" s="58"/>
      <c r="D28" s="58"/>
      <c r="E28" s="58"/>
      <c r="F28" s="58"/>
      <c r="G28" s="58"/>
      <c r="H28" s="58"/>
    </row>
    <row r="29" spans="1:8" x14ac:dyDescent="0.2">
      <c r="B29" s="58"/>
      <c r="C29" s="58"/>
      <c r="D29" s="58"/>
      <c r="E29" s="58"/>
      <c r="F29" s="58"/>
      <c r="G29" s="58"/>
      <c r="H29" s="58"/>
    </row>
    <row r="30" spans="1:8" x14ac:dyDescent="0.2">
      <c r="B30" s="57" t="s">
        <v>25</v>
      </c>
      <c r="C30" s="57"/>
      <c r="D30" s="57"/>
      <c r="E30" s="57"/>
      <c r="F30" s="57"/>
      <c r="G30" s="57"/>
      <c r="H30" s="57"/>
    </row>
    <row r="31" spans="1:8" x14ac:dyDescent="0.2">
      <c r="B31" s="57"/>
      <c r="C31" s="57"/>
      <c r="D31" s="57"/>
      <c r="E31" s="57"/>
      <c r="F31" s="57"/>
      <c r="G31" s="57"/>
      <c r="H31" s="57"/>
    </row>
    <row r="32" spans="1:8" x14ac:dyDescent="0.2">
      <c r="B32" s="57"/>
      <c r="C32" s="57"/>
      <c r="D32" s="57"/>
      <c r="E32" s="57"/>
      <c r="F32" s="57"/>
      <c r="G32" s="57"/>
      <c r="H32" s="57"/>
    </row>
    <row r="33" spans="2:8" x14ac:dyDescent="0.2">
      <c r="B33" s="57"/>
      <c r="C33" s="57"/>
      <c r="D33" s="57"/>
      <c r="E33" s="57"/>
      <c r="F33" s="57"/>
      <c r="G33" s="57"/>
      <c r="H33" s="57"/>
    </row>
    <row r="34" spans="2:8" x14ac:dyDescent="0.2">
      <c r="B34" s="57"/>
      <c r="C34" s="57"/>
      <c r="D34" s="57"/>
      <c r="E34" s="57"/>
      <c r="F34" s="57"/>
      <c r="G34" s="57"/>
      <c r="H34" s="57"/>
    </row>
    <row r="35" spans="2:8" x14ac:dyDescent="0.2">
      <c r="B35" s="57"/>
      <c r="C35" s="57"/>
      <c r="D35" s="57"/>
      <c r="E35" s="57"/>
      <c r="F35" s="57"/>
      <c r="G35" s="57"/>
      <c r="H35" s="57"/>
    </row>
    <row r="36" spans="2:8" x14ac:dyDescent="0.2">
      <c r="B36" s="57"/>
      <c r="C36" s="57"/>
      <c r="D36" s="57"/>
      <c r="E36" s="57"/>
      <c r="F36" s="57"/>
      <c r="G36" s="57"/>
      <c r="H36" s="57"/>
    </row>
    <row r="37" spans="2:8" ht="34.5" customHeight="1" x14ac:dyDescent="0.2">
      <c r="B37" s="57"/>
      <c r="C37" s="57"/>
      <c r="D37" s="57"/>
      <c r="E37" s="57"/>
      <c r="F37" s="57"/>
      <c r="G37" s="57"/>
      <c r="H37" s="57"/>
    </row>
    <row r="39" spans="2:8" ht="15" customHeight="1" x14ac:dyDescent="0.2">
      <c r="B39" s="58" t="s">
        <v>30</v>
      </c>
      <c r="C39" s="58"/>
      <c r="D39" s="58"/>
      <c r="E39" s="58"/>
      <c r="F39" s="58"/>
      <c r="G39" s="58"/>
      <c r="H39" s="58"/>
    </row>
    <row r="40" spans="2:8" x14ac:dyDescent="0.2">
      <c r="B40" s="58"/>
      <c r="C40" s="58"/>
      <c r="D40" s="58"/>
      <c r="E40" s="58"/>
      <c r="F40" s="58"/>
      <c r="G40" s="58"/>
      <c r="H40" s="58"/>
    </row>
    <row r="41" spans="2:8" x14ac:dyDescent="0.2">
      <c r="B41" s="58"/>
      <c r="C41" s="58"/>
      <c r="D41" s="58"/>
      <c r="E41" s="58"/>
      <c r="F41" s="58"/>
      <c r="G41" s="58"/>
      <c r="H41" s="58"/>
    </row>
    <row r="42" spans="2:8" x14ac:dyDescent="0.2">
      <c r="B42" s="58"/>
      <c r="C42" s="58"/>
      <c r="D42" s="58"/>
      <c r="E42" s="58"/>
      <c r="F42" s="58"/>
      <c r="G42" s="58"/>
      <c r="H42" s="58"/>
    </row>
    <row r="43" spans="2:8" x14ac:dyDescent="0.2">
      <c r="B43" s="58"/>
      <c r="C43" s="58"/>
      <c r="D43" s="58"/>
      <c r="E43" s="58"/>
      <c r="F43" s="58"/>
      <c r="G43" s="58"/>
      <c r="H43" s="58"/>
    </row>
    <row r="44" spans="2:8" x14ac:dyDescent="0.2">
      <c r="B44" s="58"/>
      <c r="C44" s="58"/>
      <c r="D44" s="58"/>
      <c r="E44" s="58"/>
      <c r="F44" s="58"/>
      <c r="G44" s="58"/>
      <c r="H44" s="58"/>
    </row>
    <row r="45" spans="2:8" x14ac:dyDescent="0.2">
      <c r="B45" s="58"/>
      <c r="C45" s="58"/>
      <c r="D45" s="58"/>
      <c r="E45" s="58"/>
      <c r="F45" s="58"/>
      <c r="G45" s="58"/>
      <c r="H45" s="58"/>
    </row>
    <row r="46" spans="2:8" x14ac:dyDescent="0.2">
      <c r="B46" s="58"/>
      <c r="C46" s="58"/>
      <c r="D46" s="58"/>
      <c r="E46" s="58"/>
      <c r="F46" s="58"/>
      <c r="G46" s="58"/>
      <c r="H46" s="58"/>
    </row>
    <row r="47" spans="2:8" x14ac:dyDescent="0.2">
      <c r="B47" s="58"/>
      <c r="C47" s="58"/>
      <c r="D47" s="58"/>
      <c r="E47" s="58"/>
      <c r="F47" s="58"/>
      <c r="G47" s="58"/>
      <c r="H47" s="58"/>
    </row>
    <row r="48" spans="2:8" x14ac:dyDescent="0.2">
      <c r="B48" s="58"/>
      <c r="C48" s="58"/>
      <c r="D48" s="58"/>
      <c r="E48" s="58"/>
      <c r="F48" s="58"/>
      <c r="G48" s="58"/>
      <c r="H48" s="58"/>
    </row>
    <row r="49" spans="2:8" x14ac:dyDescent="0.2">
      <c r="B49" s="58"/>
      <c r="C49" s="58"/>
      <c r="D49" s="58"/>
      <c r="E49" s="58"/>
      <c r="F49" s="58"/>
      <c r="G49" s="58"/>
      <c r="H49" s="58"/>
    </row>
    <row r="50" spans="2:8" x14ac:dyDescent="0.2">
      <c r="B50" s="58"/>
      <c r="C50" s="58"/>
      <c r="D50" s="58"/>
      <c r="E50" s="58"/>
      <c r="F50" s="58"/>
      <c r="G50" s="58"/>
      <c r="H50" s="58"/>
    </row>
    <row r="51" spans="2:8" x14ac:dyDescent="0.2">
      <c r="B51" t="s">
        <v>31</v>
      </c>
    </row>
    <row r="52" spans="2:8" x14ac:dyDescent="0.2">
      <c r="B52" t="s">
        <v>32</v>
      </c>
    </row>
  </sheetData>
  <mergeCells count="4">
    <mergeCell ref="B16:H21"/>
    <mergeCell ref="B23:H29"/>
    <mergeCell ref="B30:H37"/>
    <mergeCell ref="B39:H5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3"/>
  <dimension ref="B2:E8"/>
  <sheetViews>
    <sheetView zoomScaleNormal="60" zoomScaleSheetLayoutView="100" workbookViewId="0">
      <selection activeCell="D9" sqref="D9:D17"/>
    </sheetView>
  </sheetViews>
  <sheetFormatPr defaultRowHeight="15" x14ac:dyDescent="0.2"/>
  <cols>
    <col min="2" max="2" width="11.97265625" bestFit="1" customWidth="1"/>
    <col min="3" max="3" width="16.41015625" bestFit="1" customWidth="1"/>
    <col min="4" max="4" width="11.97265625" bestFit="1" customWidth="1"/>
  </cols>
  <sheetData>
    <row r="2" spans="2:5" x14ac:dyDescent="0.2">
      <c r="B2" t="s">
        <v>13</v>
      </c>
      <c r="C2">
        <v>2000</v>
      </c>
      <c r="D2" t="s">
        <v>9</v>
      </c>
    </row>
    <row r="3" spans="2:5" x14ac:dyDescent="0.2">
      <c r="B3" t="s">
        <v>34</v>
      </c>
      <c r="C3">
        <f>PI()*C2</f>
        <v>6283.1853071795858</v>
      </c>
      <c r="D3" t="s">
        <v>9</v>
      </c>
    </row>
    <row r="4" spans="2:5" x14ac:dyDescent="0.2">
      <c r="B4" t="s">
        <v>8</v>
      </c>
      <c r="C4">
        <v>100</v>
      </c>
      <c r="D4" t="s">
        <v>9</v>
      </c>
      <c r="E4">
        <f>(C2/2)-C4</f>
        <v>900</v>
      </c>
    </row>
    <row r="5" spans="2:5" x14ac:dyDescent="0.2">
      <c r="B5" s="19" t="s">
        <v>35</v>
      </c>
      <c r="C5">
        <v>1800</v>
      </c>
      <c r="D5" t="s">
        <v>9</v>
      </c>
      <c r="E5">
        <f>C5/2</f>
        <v>900</v>
      </c>
    </row>
    <row r="7" spans="2:5" x14ac:dyDescent="0.2">
      <c r="B7" t="s">
        <v>36</v>
      </c>
      <c r="D7">
        <f>0.5*PI()</f>
        <v>1.5707963267948966</v>
      </c>
    </row>
    <row r="8" spans="2:5" x14ac:dyDescent="0.2">
      <c r="D8">
        <f>(D7/PI())*180</f>
        <v>90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1"/>
  <dimension ref="A1:O29"/>
  <sheetViews>
    <sheetView tabSelected="1" zoomScaleNormal="60" zoomScaleSheetLayoutView="100" workbookViewId="0">
      <selection activeCell="G5" sqref="G5"/>
    </sheetView>
  </sheetViews>
  <sheetFormatPr defaultRowHeight="15" x14ac:dyDescent="0.2"/>
  <cols>
    <col min="1" max="1" width="12.64453125" customWidth="1"/>
    <col min="2" max="2" width="7.6640625" customWidth="1"/>
    <col min="3" max="3" width="10.0859375" customWidth="1"/>
    <col min="4" max="4" width="10.4921875" customWidth="1"/>
    <col min="5" max="5" width="5.6484375" customWidth="1"/>
    <col min="6" max="6" width="6.72265625" customWidth="1"/>
    <col min="7" max="7" width="6.45703125" customWidth="1"/>
    <col min="8" max="11" width="0" hidden="1" customWidth="1"/>
    <col min="12" max="12" width="13.046875" hidden="1" customWidth="1"/>
    <col min="13" max="18" width="0" hidden="1" customWidth="1"/>
  </cols>
  <sheetData>
    <row r="1" spans="1:15" ht="22.5" customHeight="1" x14ac:dyDescent="0.25">
      <c r="A1" s="31" t="s">
        <v>43</v>
      </c>
    </row>
    <row r="2" spans="1:15" x14ac:dyDescent="0.2">
      <c r="A2" t="s">
        <v>44</v>
      </c>
      <c r="B2" s="26"/>
      <c r="D2" s="25"/>
    </row>
    <row r="3" spans="1:15" x14ac:dyDescent="0.2">
      <c r="A3" t="s">
        <v>45</v>
      </c>
      <c r="B3" s="59" t="str">
        <f>C5&amp;"/"&amp;C6&amp;"R"&amp;C7</f>
        <v>265/70R17</v>
      </c>
      <c r="C3" s="59"/>
      <c r="D3" s="59" t="str">
        <f>D5&amp;"/"&amp;D6&amp;"R"&amp;D7</f>
        <v>266,7/85,7142857142857R17</v>
      </c>
      <c r="E3" s="59"/>
    </row>
    <row r="4" spans="1:15" ht="15.75" thickBot="1" x14ac:dyDescent="0.25">
      <c r="C4" t="s">
        <v>53</v>
      </c>
      <c r="D4" t="s">
        <v>54</v>
      </c>
    </row>
    <row r="5" spans="1:15" x14ac:dyDescent="0.2">
      <c r="B5" s="19" t="s">
        <v>46</v>
      </c>
      <c r="C5" s="45">
        <v>265</v>
      </c>
      <c r="D5" s="46">
        <f>10.5*25.4</f>
        <v>266.7</v>
      </c>
      <c r="E5" t="s">
        <v>47</v>
      </c>
      <c r="K5" t="s">
        <v>9</v>
      </c>
    </row>
    <row r="6" spans="1:15" x14ac:dyDescent="0.2">
      <c r="B6" s="19" t="s">
        <v>48</v>
      </c>
      <c r="C6" s="47">
        <v>70</v>
      </c>
      <c r="D6" s="48">
        <f>90/1.05</f>
        <v>85.714285714285708</v>
      </c>
      <c r="E6" t="s">
        <v>4</v>
      </c>
      <c r="K6" t="s">
        <v>65</v>
      </c>
    </row>
    <row r="7" spans="1:15" ht="15.75" thickBot="1" x14ac:dyDescent="0.25">
      <c r="B7" s="19" t="s">
        <v>49</v>
      </c>
      <c r="C7" s="49">
        <v>17</v>
      </c>
      <c r="D7" s="50">
        <v>17</v>
      </c>
      <c r="K7" t="s">
        <v>1</v>
      </c>
      <c r="L7" t="s">
        <v>7</v>
      </c>
    </row>
    <row r="8" spans="1:15" x14ac:dyDescent="0.2">
      <c r="B8" s="20" t="str">
        <f>"deflection "&amp;B10&amp;" decimal"</f>
        <v>deflection inch decimal</v>
      </c>
      <c r="C8" s="51"/>
      <c r="D8" s="52"/>
      <c r="E8" t="s">
        <v>51</v>
      </c>
      <c r="K8">
        <f>IF(B10="inch",25.4,1)*C8</f>
        <v>0</v>
      </c>
      <c r="L8">
        <f>IF(B10="inch",25.4,1)*D8</f>
        <v>0</v>
      </c>
      <c r="M8" t="s">
        <v>9</v>
      </c>
    </row>
    <row r="9" spans="1:15" ht="15.75" thickBot="1" x14ac:dyDescent="0.25">
      <c r="B9" s="19" t="s">
        <v>50</v>
      </c>
      <c r="C9" s="53"/>
      <c r="D9" s="54"/>
      <c r="E9" t="s">
        <v>52</v>
      </c>
    </row>
    <row r="10" spans="1:15" ht="15.75" thickBot="1" x14ac:dyDescent="0.25">
      <c r="A10" t="s">
        <v>66</v>
      </c>
      <c r="B10" s="55" t="s">
        <v>65</v>
      </c>
      <c r="C10" s="8" t="s">
        <v>53</v>
      </c>
      <c r="D10" s="8" t="s">
        <v>54</v>
      </c>
      <c r="F10" t="s">
        <v>55</v>
      </c>
    </row>
    <row r="11" spans="1:15" x14ac:dyDescent="0.2">
      <c r="B11" s="19" t="s">
        <v>38</v>
      </c>
      <c r="C11" s="42">
        <f>K11/IF($B$10="mm",1,25.4)</f>
        <v>31.606299212598426</v>
      </c>
      <c r="D11" s="42">
        <f t="shared" ref="D11:F21" si="0">L11/IF($B$10="mm",1,25.4)</f>
        <v>35</v>
      </c>
      <c r="E11" s="40" t="str">
        <f t="shared" ref="E11:E12" si="1">$B$10</f>
        <v>inch</v>
      </c>
      <c r="J11" t="s">
        <v>68</v>
      </c>
      <c r="K11" s="21">
        <f>((C6/50)*C5)+(C7*25.4)</f>
        <v>802.8</v>
      </c>
      <c r="L11" s="21">
        <f>((D6/50)*D5)+(D7*25.4)</f>
        <v>888.99999999999989</v>
      </c>
      <c r="M11" t="s">
        <v>9</v>
      </c>
      <c r="N11" s="24">
        <f>L11-K11</f>
        <v>86.199999999999932</v>
      </c>
      <c r="O11" t="s">
        <v>9</v>
      </c>
    </row>
    <row r="12" spans="1:15" x14ac:dyDescent="0.2">
      <c r="B12" s="19" t="s">
        <v>56</v>
      </c>
      <c r="C12" s="42">
        <f t="shared" ref="C12:C21" si="2">K12/IF($B$10="mm",1,25.4)</f>
        <v>99.294117413460071</v>
      </c>
      <c r="D12" s="42">
        <f t="shared" si="0"/>
        <v>109.95574287564274</v>
      </c>
      <c r="E12" s="40" t="str">
        <f t="shared" si="1"/>
        <v>inch</v>
      </c>
      <c r="J12" t="s">
        <v>69</v>
      </c>
      <c r="K12" s="21">
        <f>K11*PI()</f>
        <v>2522.0705823018857</v>
      </c>
      <c r="L12" s="21">
        <f>L11*PI()</f>
        <v>2792.8758690413256</v>
      </c>
      <c r="M12" t="s">
        <v>9</v>
      </c>
    </row>
    <row r="13" spans="1:15" s="33" customFormat="1" ht="40.5" customHeight="1" x14ac:dyDescent="0.25">
      <c r="A13" s="61" t="s">
        <v>57</v>
      </c>
      <c r="B13" s="62"/>
      <c r="C13" s="43">
        <f t="shared" si="2"/>
        <v>96.316407053807538</v>
      </c>
      <c r="D13" s="43">
        <f t="shared" si="0"/>
        <v>106.17841060632652</v>
      </c>
      <c r="E13" s="39" t="str">
        <f>$B$10</f>
        <v>inch</v>
      </c>
      <c r="F13" s="39"/>
      <c r="H13"/>
      <c r="J13" s="33" t="s">
        <v>70</v>
      </c>
      <c r="K13" s="38">
        <f>(K11-K15)*PI()</f>
        <v>2446.4367391667115</v>
      </c>
      <c r="L13" s="38">
        <f>(L11-L15)*PI()</f>
        <v>2696.9316294006935</v>
      </c>
      <c r="M13" s="39" t="s">
        <v>9</v>
      </c>
      <c r="N13" s="60">
        <f>(L13-K13)/K13</f>
        <v>0.10239173007159133</v>
      </c>
      <c r="O13" s="60"/>
    </row>
    <row r="14" spans="1:15" x14ac:dyDescent="0.2">
      <c r="B14" s="19" t="s">
        <v>58</v>
      </c>
      <c r="C14" s="42">
        <f t="shared" si="2"/>
        <v>14.855314960629922</v>
      </c>
      <c r="D14" s="42">
        <f t="shared" si="0"/>
        <v>16.297637795275588</v>
      </c>
      <c r="E14" s="40" t="str">
        <f t="shared" ref="E14:G15" si="3">$B$10</f>
        <v>inch</v>
      </c>
      <c r="F14" s="42">
        <f t="shared" si="0"/>
        <v>1.4423228346456667</v>
      </c>
      <c r="G14" s="40" t="str">
        <f t="shared" si="3"/>
        <v>inch</v>
      </c>
      <c r="J14" t="s">
        <v>71</v>
      </c>
      <c r="K14" s="21">
        <f>(K11/2)-K15</f>
        <v>377.32499999999999</v>
      </c>
      <c r="L14" s="21">
        <f>(L11/2)-L15</f>
        <v>413.95999999999992</v>
      </c>
      <c r="M14" t="s">
        <v>9</v>
      </c>
      <c r="N14" s="3">
        <f>L14-K14</f>
        <v>36.634999999999934</v>
      </c>
      <c r="O14" t="s">
        <v>9</v>
      </c>
    </row>
    <row r="15" spans="1:15" x14ac:dyDescent="0.2">
      <c r="B15" s="19" t="s">
        <v>67</v>
      </c>
      <c r="C15" s="22">
        <f t="shared" si="2"/>
        <v>0.94783464566929132</v>
      </c>
      <c r="D15" s="22">
        <f t="shared" si="0"/>
        <v>1.2023622047244091</v>
      </c>
      <c r="E15" s="40" t="str">
        <f t="shared" si="3"/>
        <v>inch</v>
      </c>
      <c r="F15" s="42">
        <f t="shared" si="0"/>
        <v>0.25452755905511781</v>
      </c>
      <c r="G15" s="40" t="str">
        <f t="shared" si="3"/>
        <v>inch</v>
      </c>
      <c r="J15" t="s">
        <v>72</v>
      </c>
      <c r="K15" s="5">
        <f>(K16/100)*K19</f>
        <v>24.074999999999999</v>
      </c>
      <c r="L15" s="5">
        <f>(L16/100)*L19</f>
        <v>30.539999999999992</v>
      </c>
      <c r="M15" t="s">
        <v>9</v>
      </c>
      <c r="N15" s="3">
        <f>L15-K15</f>
        <v>6.4649999999999928</v>
      </c>
      <c r="O15" t="s">
        <v>9</v>
      </c>
    </row>
    <row r="16" spans="1:15" x14ac:dyDescent="0.2">
      <c r="B16" s="19" t="s">
        <v>59</v>
      </c>
      <c r="C16" s="5">
        <f>K16</f>
        <v>15</v>
      </c>
      <c r="D16" s="5">
        <f t="shared" ref="D16:D18" si="4">L16</f>
        <v>15</v>
      </c>
      <c r="E16" t="s">
        <v>41</v>
      </c>
      <c r="J16">
        <v>6</v>
      </c>
      <c r="K16" s="5">
        <f>IF(C8="",IF(C9="",15,C9),(K8/K19)*100)</f>
        <v>15</v>
      </c>
      <c r="L16" s="5">
        <f>IF(D8="",IF(D9="",15,D9),(L8/L19)*100)</f>
        <v>15</v>
      </c>
      <c r="M16" t="s">
        <v>41</v>
      </c>
    </row>
    <row r="17" spans="1:14" x14ac:dyDescent="0.2">
      <c r="B17" s="19" t="s">
        <v>39</v>
      </c>
      <c r="C17" s="44">
        <f t="shared" ref="C17:C18" si="5">K17</f>
        <v>0.97001121076233188</v>
      </c>
      <c r="D17" s="44">
        <f t="shared" si="4"/>
        <v>0.96564679415073118</v>
      </c>
      <c r="E17" t="s">
        <v>41</v>
      </c>
      <c r="J17">
        <v>7</v>
      </c>
      <c r="K17" s="23">
        <f>(K13/K12)</f>
        <v>0.97001121076233188</v>
      </c>
      <c r="L17" s="23">
        <f>(L13/L12)</f>
        <v>0.96564679415073118</v>
      </c>
      <c r="M17" t="s">
        <v>41</v>
      </c>
    </row>
    <row r="18" spans="1:14" x14ac:dyDescent="0.2">
      <c r="B18" s="19" t="s">
        <v>40</v>
      </c>
      <c r="C18" s="22">
        <f t="shared" si="5"/>
        <v>3.0473800936306823</v>
      </c>
      <c r="D18" s="22">
        <f t="shared" si="4"/>
        <v>3.0336688744664722</v>
      </c>
      <c r="E18" t="s">
        <v>42</v>
      </c>
      <c r="J18">
        <v>8</v>
      </c>
      <c r="K18" s="22">
        <f>K13/K11</f>
        <v>3.0473800936306823</v>
      </c>
      <c r="L18" s="22">
        <f>L13/L11</f>
        <v>3.0336688744664722</v>
      </c>
      <c r="M18" t="s">
        <v>42</v>
      </c>
      <c r="N18" s="27"/>
    </row>
    <row r="19" spans="1:14" x14ac:dyDescent="0.2">
      <c r="B19" s="19" t="s">
        <v>60</v>
      </c>
      <c r="C19" s="22">
        <f t="shared" si="2"/>
        <v>6.3188976377952759</v>
      </c>
      <c r="D19" s="22">
        <f t="shared" si="0"/>
        <v>8.015748031496063</v>
      </c>
      <c r="E19" s="40" t="str">
        <f t="shared" ref="E19:E21" si="6">$B$10</f>
        <v>inch</v>
      </c>
      <c r="J19">
        <v>9</v>
      </c>
      <c r="K19" s="2">
        <f>K20-25</f>
        <v>160.5</v>
      </c>
      <c r="L19" s="2">
        <f>L20-25</f>
        <v>203.59999999999997</v>
      </c>
      <c r="M19" t="s">
        <v>9</v>
      </c>
    </row>
    <row r="20" spans="1:14" x14ac:dyDescent="0.2">
      <c r="B20" s="19" t="s">
        <v>74</v>
      </c>
      <c r="C20" s="22">
        <f t="shared" si="2"/>
        <v>7.3031496062992129</v>
      </c>
      <c r="D20" s="22">
        <f t="shared" si="0"/>
        <v>9</v>
      </c>
      <c r="E20" s="40" t="str">
        <f t="shared" si="6"/>
        <v>inch</v>
      </c>
      <c r="K20" s="2">
        <f>C5*(C6/100)</f>
        <v>185.5</v>
      </c>
      <c r="L20" s="2">
        <f>D5*(D6/100)</f>
        <v>228.59999999999997</v>
      </c>
      <c r="M20" t="s">
        <v>9</v>
      </c>
      <c r="N20" s="30"/>
    </row>
    <row r="21" spans="1:14" x14ac:dyDescent="0.2">
      <c r="B21" s="19" t="s">
        <v>49</v>
      </c>
      <c r="C21" s="2">
        <f t="shared" si="2"/>
        <v>17</v>
      </c>
      <c r="D21" s="2">
        <f t="shared" si="0"/>
        <v>17</v>
      </c>
      <c r="E21" s="40" t="str">
        <f t="shared" si="6"/>
        <v>inch</v>
      </c>
      <c r="K21" s="2">
        <f>C7*25.4</f>
        <v>431.79999999999995</v>
      </c>
      <c r="L21" s="2">
        <f>D7*25.4</f>
        <v>431.79999999999995</v>
      </c>
      <c r="M21" t="s">
        <v>9</v>
      </c>
    </row>
    <row r="22" spans="1:14" ht="21" x14ac:dyDescent="0.3">
      <c r="A22" s="37"/>
      <c r="B22" s="36"/>
      <c r="C22" s="32" t="s">
        <v>61</v>
      </c>
      <c r="D22" s="41">
        <f>(K13/L13)-1</f>
        <v>-9.2881438855625165E-2</v>
      </c>
      <c r="E22" s="34" t="s">
        <v>62</v>
      </c>
      <c r="F22" s="35"/>
    </row>
    <row r="23" spans="1:14" x14ac:dyDescent="0.2">
      <c r="C23" s="7" t="s">
        <v>53</v>
      </c>
      <c r="D23" s="7" t="s">
        <v>54</v>
      </c>
    </row>
    <row r="24" spans="1:14" x14ac:dyDescent="0.2">
      <c r="B24" s="19" t="s">
        <v>63</v>
      </c>
      <c r="C24" s="28">
        <v>50</v>
      </c>
      <c r="D24" s="29">
        <f t="shared" ref="D24:D29" si="7">($K$13/$L$13)*C24</f>
        <v>45.35592805721874</v>
      </c>
      <c r="E24" t="s">
        <v>73</v>
      </c>
    </row>
    <row r="25" spans="1:14" x14ac:dyDescent="0.2">
      <c r="C25" s="28">
        <v>60</v>
      </c>
      <c r="D25" s="29">
        <f t="shared" si="7"/>
        <v>54.427113668662493</v>
      </c>
      <c r="E25" t="s">
        <v>73</v>
      </c>
    </row>
    <row r="26" spans="1:14" x14ac:dyDescent="0.2">
      <c r="C26" s="28">
        <v>70</v>
      </c>
      <c r="D26" s="29">
        <f t="shared" si="7"/>
        <v>63.498299280106238</v>
      </c>
      <c r="E26" t="s">
        <v>73</v>
      </c>
      <c r="G26" s="30"/>
    </row>
    <row r="27" spans="1:14" x14ac:dyDescent="0.2">
      <c r="C27" s="28">
        <v>80</v>
      </c>
      <c r="D27" s="29">
        <f t="shared" si="7"/>
        <v>72.56948489154999</v>
      </c>
      <c r="E27" t="s">
        <v>73</v>
      </c>
    </row>
    <row r="28" spans="1:14" x14ac:dyDescent="0.2">
      <c r="B28" s="19" t="s">
        <v>64</v>
      </c>
      <c r="C28" s="56">
        <v>140</v>
      </c>
      <c r="D28" s="29">
        <f t="shared" si="7"/>
        <v>126.99659856021248</v>
      </c>
      <c r="E28" t="s">
        <v>73</v>
      </c>
    </row>
    <row r="29" spans="1:14" x14ac:dyDescent="0.2">
      <c r="B29" s="19" t="s">
        <v>64</v>
      </c>
      <c r="C29" s="56">
        <v>180</v>
      </c>
      <c r="D29" s="29">
        <f t="shared" si="7"/>
        <v>163.28134100598746</v>
      </c>
      <c r="E29" t="s">
        <v>73</v>
      </c>
    </row>
  </sheetData>
  <sheetProtection sheet="1" objects="1" scenarios="1"/>
  <mergeCells count="4">
    <mergeCell ref="D3:E3"/>
    <mergeCell ref="B3:C3"/>
    <mergeCell ref="N13:O13"/>
    <mergeCell ref="A13:B13"/>
  </mergeCells>
  <dataValidations count="1">
    <dataValidation type="list" allowBlank="1" showInputMessage="1" showErrorMessage="1" sqref="B10" xr:uid="{00000000-0002-0000-0200-000000000000}">
      <formula1>give_mm__inch</formula1>
    </dataValidation>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Werkbladen</vt:lpstr>
      </vt:variant>
      <vt:variant>
        <vt:i4>3</vt:i4>
      </vt:variant>
      <vt:variant>
        <vt:lpstr>Benoemde bereiken</vt:lpstr>
      </vt:variant>
      <vt:variant>
        <vt:i4>3</vt:i4>
      </vt:variant>
    </vt:vector>
  </HeadingPairs>
  <TitlesOfParts>
    <vt:vector size="6" baseType="lpstr">
      <vt:lpstr>Blad1</vt:lpstr>
      <vt:lpstr>Blad2</vt:lpstr>
      <vt:lpstr>Blad3</vt:lpstr>
      <vt:lpstr>give_mm__inch</vt:lpstr>
      <vt:lpstr>inch</vt:lpstr>
      <vt:lpstr>mminh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Peter Jadatis</dc:creator>
  <cp:lastModifiedBy>Gebruiker</cp:lastModifiedBy>
  <dcterms:created xsi:type="dcterms:W3CDTF">2024-07-12T12:41:13Z</dcterms:created>
  <dcterms:modified xsi:type="dcterms:W3CDTF">2024-09-10T10:17:56Z</dcterms:modified>
</cp:coreProperties>
</file>